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375" windowWidth="9720" windowHeight="5970" firstSheet="2" activeTab="2"/>
  </bookViews>
  <sheets>
    <sheet name="2025" sheetId="48" state="hidden" r:id="rId1"/>
    <sheet name="2026-2027гг" sheetId="49" state="hidden" r:id="rId2"/>
    <sheet name="для решения 25-27" sheetId="50" r:id="rId3"/>
    <sheet name="для решения 19-20гг" sheetId="51" state="hidden" r:id="rId4"/>
  </sheets>
  <externalReferences>
    <externalReference r:id="rId5"/>
  </externalReferences>
  <definedNames>
    <definedName name="_xlnm.Print_Area" localSheetId="2">'для решения 25-27'!$A$1:$E$23</definedName>
  </definedNames>
  <calcPr calcId="144525"/>
</workbook>
</file>

<file path=xl/calcChain.xml><?xml version="1.0" encoding="utf-8"?>
<calcChain xmlns="http://schemas.openxmlformats.org/spreadsheetml/2006/main">
  <c r="N23" i="48" l="1"/>
  <c r="N22" i="48"/>
  <c r="N21" i="48"/>
  <c r="L23" i="48"/>
  <c r="L22" i="48"/>
  <c r="L21" i="48"/>
  <c r="H23" i="48"/>
  <c r="H22" i="48"/>
  <c r="C22" i="48"/>
  <c r="F14" i="49"/>
  <c r="F12" i="49"/>
  <c r="F13" i="49"/>
  <c r="E14" i="49"/>
  <c r="E20" i="49"/>
  <c r="E13" i="49"/>
  <c r="E19" i="49"/>
  <c r="D18" i="48"/>
  <c r="D23" i="48"/>
  <c r="D21" i="48"/>
  <c r="D24" i="48"/>
  <c r="D12" i="48"/>
  <c r="D11" i="48"/>
  <c r="C18" i="48"/>
  <c r="E18" i="48"/>
  <c r="G18" i="48"/>
  <c r="I18" i="48"/>
  <c r="K18" i="48"/>
  <c r="M18" i="48"/>
  <c r="O18" i="48"/>
  <c r="C14" i="48"/>
  <c r="D14" i="49"/>
  <c r="D20" i="49"/>
  <c r="D13" i="49"/>
  <c r="D19" i="49"/>
  <c r="C20" i="49"/>
  <c r="C13" i="49"/>
  <c r="C19" i="49"/>
  <c r="C27" i="48"/>
  <c r="C24" i="51"/>
  <c r="D17" i="51"/>
  <c r="D18" i="51"/>
  <c r="F11" i="48"/>
  <c r="H11" i="48"/>
  <c r="J11" i="48"/>
  <c r="L11" i="48"/>
  <c r="N11" i="48"/>
  <c r="E13" i="48"/>
  <c r="G13" i="48"/>
  <c r="I13" i="48"/>
  <c r="K13" i="48"/>
  <c r="D14" i="48"/>
  <c r="E14" i="48"/>
  <c r="G14" i="48"/>
  <c r="I14" i="48"/>
  <c r="K14" i="48"/>
  <c r="M14" i="48"/>
  <c r="O14" i="48"/>
  <c r="C13" i="50"/>
  <c r="F14" i="48"/>
  <c r="H14" i="48"/>
  <c r="J14" i="48"/>
  <c r="L14" i="48"/>
  <c r="N14" i="48"/>
  <c r="E15" i="48"/>
  <c r="G15" i="48"/>
  <c r="I15" i="48"/>
  <c r="K15" i="48"/>
  <c r="M15" i="48"/>
  <c r="O15" i="48"/>
  <c r="E17" i="48"/>
  <c r="G17" i="48"/>
  <c r="I17" i="48"/>
  <c r="E20" i="48"/>
  <c r="G20" i="48"/>
  <c r="I20" i="48"/>
  <c r="F21" i="48"/>
  <c r="H21" i="48"/>
  <c r="J21" i="48"/>
  <c r="D15" i="49"/>
  <c r="D19" i="51"/>
  <c r="G17" i="49"/>
  <c r="C36" i="48"/>
  <c r="G14" i="49"/>
  <c r="C18" i="51"/>
  <c r="E12" i="49"/>
  <c r="H16" i="49"/>
  <c r="C40" i="48"/>
  <c r="F15" i="49"/>
  <c r="E15" i="49"/>
  <c r="G16" i="49"/>
  <c r="C35" i="48"/>
  <c r="D20" i="51"/>
  <c r="D21" i="51"/>
  <c r="H17" i="49"/>
  <c r="E17" i="50"/>
  <c r="C15" i="49"/>
  <c r="H14" i="49"/>
  <c r="E12" i="50"/>
  <c r="D12" i="49"/>
  <c r="D16" i="51"/>
  <c r="C11" i="48"/>
  <c r="C12" i="49"/>
  <c r="C34" i="48"/>
  <c r="G15" i="49"/>
  <c r="C19" i="51"/>
  <c r="C21" i="51"/>
  <c r="D17" i="50"/>
  <c r="C23" i="48"/>
  <c r="E23" i="48"/>
  <c r="G23" i="48"/>
  <c r="I23" i="48"/>
  <c r="K23" i="48"/>
  <c r="M23" i="48"/>
  <c r="O23" i="48"/>
  <c r="C22" i="50"/>
  <c r="K20" i="48"/>
  <c r="M20" i="48"/>
  <c r="O20" i="48"/>
  <c r="C19" i="50"/>
  <c r="H13" i="49"/>
  <c r="H12" i="49"/>
  <c r="E14" i="50"/>
  <c r="E12" i="48"/>
  <c r="D22" i="48"/>
  <c r="D13" i="50"/>
  <c r="F19" i="49"/>
  <c r="E11" i="48"/>
  <c r="G12" i="48"/>
  <c r="G11" i="48"/>
  <c r="E22" i="48"/>
  <c r="G22" i="48"/>
  <c r="I22" i="48"/>
  <c r="K22" i="48"/>
  <c r="M22" i="48"/>
  <c r="C38" i="48"/>
  <c r="E11" i="50"/>
  <c r="I12" i="48"/>
  <c r="I11" i="48"/>
  <c r="K12" i="48"/>
  <c r="M12" i="48"/>
  <c r="F24" i="48"/>
  <c r="H24" i="48"/>
  <c r="J24" i="48"/>
  <c r="L24" i="48"/>
  <c r="E10" i="50"/>
  <c r="C16" i="50"/>
  <c r="K17" i="48"/>
  <c r="M17" i="48"/>
  <c r="O17" i="48"/>
  <c r="G19" i="49"/>
  <c r="C23" i="51"/>
  <c r="C18" i="49"/>
  <c r="C31" i="48"/>
  <c r="C17" i="50"/>
  <c r="O12" i="48"/>
  <c r="C14" i="50"/>
  <c r="C30" i="48"/>
  <c r="M13" i="48"/>
  <c r="O13" i="48"/>
  <c r="K11" i="48"/>
  <c r="D23" i="51"/>
  <c r="H19" i="49"/>
  <c r="D18" i="49"/>
  <c r="D24" i="51"/>
  <c r="E18" i="49"/>
  <c r="E21" i="49"/>
  <c r="G20" i="49"/>
  <c r="D22" i="50"/>
  <c r="C20" i="51"/>
  <c r="C41" i="48"/>
  <c r="D14" i="50"/>
  <c r="D12" i="50"/>
  <c r="G13" i="49"/>
  <c r="F20" i="49"/>
  <c r="F18" i="49"/>
  <c r="F21" i="49"/>
  <c r="C21" i="48"/>
  <c r="H15" i="49"/>
  <c r="E13" i="50"/>
  <c r="C39" i="48"/>
  <c r="G12" i="49"/>
  <c r="C33" i="48"/>
  <c r="D11" i="50"/>
  <c r="C17" i="51"/>
  <c r="H20" i="49"/>
  <c r="E22" i="50"/>
  <c r="C28" i="48"/>
  <c r="O11" i="48"/>
  <c r="C11" i="50"/>
  <c r="C21" i="49"/>
  <c r="C25" i="51"/>
  <c r="C22" i="51"/>
  <c r="E21" i="48"/>
  <c r="C24" i="48"/>
  <c r="D21" i="49"/>
  <c r="D25" i="51"/>
  <c r="D22" i="51"/>
  <c r="C29" i="48"/>
  <c r="C12" i="50"/>
  <c r="H21" i="49"/>
  <c r="E23" i="50"/>
  <c r="E21" i="50"/>
  <c r="H18" i="49"/>
  <c r="E20" i="50"/>
  <c r="M11" i="48"/>
  <c r="D21" i="50"/>
  <c r="G18" i="49"/>
  <c r="D20" i="50"/>
  <c r="G21" i="48"/>
  <c r="E24" i="48"/>
  <c r="C10" i="50"/>
  <c r="C32" i="48"/>
  <c r="C37" i="48"/>
  <c r="C42" i="48"/>
  <c r="C16" i="51"/>
  <c r="D10" i="50"/>
  <c r="G21" i="49"/>
  <c r="D23" i="50"/>
  <c r="I21" i="48"/>
  <c r="G24" i="48"/>
  <c r="K21" i="48"/>
  <c r="I24" i="48"/>
  <c r="M21" i="48"/>
  <c r="K24" i="48"/>
  <c r="M24" i="48"/>
  <c r="N24" i="48"/>
  <c r="O21" i="48"/>
  <c r="O22" i="48"/>
  <c r="C21" i="50"/>
  <c r="O24" i="48"/>
  <c r="C23" i="50"/>
  <c r="C20" i="50"/>
</calcChain>
</file>

<file path=xl/sharedStrings.xml><?xml version="1.0" encoding="utf-8"?>
<sst xmlns="http://schemas.openxmlformats.org/spreadsheetml/2006/main" count="149" uniqueCount="76">
  <si>
    <t>Наименование источников</t>
  </si>
  <si>
    <t>ИТОГО</t>
  </si>
  <si>
    <t>Код</t>
  </si>
  <si>
    <t>Сумма</t>
  </si>
  <si>
    <t>01 02 00 00 04 0000 710</t>
  </si>
  <si>
    <t>01 02 00 00 04 0000 810</t>
  </si>
  <si>
    <t>01 03 00 00 04 0000 810</t>
  </si>
  <si>
    <t>01 02 00 00 00 0000 000</t>
  </si>
  <si>
    <t>Кредиты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</si>
  <si>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</si>
  <si>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</si>
  <si>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 xml:space="preserve">01 05 00 00 00 0000 000 </t>
  </si>
  <si>
    <t>Изменение остатков  средств на счетах по учету средств бюджета</t>
  </si>
  <si>
    <t xml:space="preserve">01 05 02 01 04 0000 610 </t>
  </si>
  <si>
    <t xml:space="preserve">Погашение бюджетами городских округов кредитов от кредитных организаций   в валюте Российской Федерации </t>
  </si>
  <si>
    <t>Уменьшение прочих остатков  денежных средств бюджетов городских округов</t>
  </si>
  <si>
    <t xml:space="preserve">01 05 02 01 04 0000 510 </t>
  </si>
  <si>
    <t>01 03 00 00 04 0000 710</t>
  </si>
  <si>
    <t xml:space="preserve">Получение кредитов от кредитных организаций бюджетами городских округов в валюте Российской Федерации 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</si>
  <si>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 </t>
  </si>
  <si>
    <t xml:space="preserve">Погашение бюджетами городских округов кредитов от других бюджетов бюджетной системы Российской Федерации в валюте Российской Федерации </t>
  </si>
  <si>
    <t>Увеличение прочих остатков денежных средств бюджетов городских округов</t>
  </si>
  <si>
    <t xml:space="preserve">                                                                                                                                   к Решению Сарапульской городской</t>
  </si>
  <si>
    <t xml:space="preserve">                                                                                             Приложение 2</t>
  </si>
  <si>
    <t xml:space="preserve">                                                                                                                              Думы от 22 декабря 2011г. № 1-172</t>
  </si>
  <si>
    <t>в решение</t>
  </si>
  <si>
    <t>к решению Сарапульской городской Думы</t>
  </si>
  <si>
    <t xml:space="preserve">Верхний предел Мун Долга </t>
  </si>
  <si>
    <t xml:space="preserve">                                                                     Приложение 2</t>
  </si>
  <si>
    <t>01 03 01 00 04 0000 810</t>
  </si>
  <si>
    <t>01 03 01 00 04 0000 710</t>
  </si>
  <si>
    <t>2019 год</t>
  </si>
  <si>
    <t>2020 год</t>
  </si>
  <si>
    <t>от "____" _____________ 2017 г. №______</t>
  </si>
  <si>
    <t>Источники внутреннего финансирования дефицита бюджета города Сарапула на плановый период 2019 и 2020годов</t>
  </si>
  <si>
    <t>в том числе :</t>
  </si>
  <si>
    <t>получение бюджетных кредитов на пополнение остатков средств на счете бюджета</t>
  </si>
  <si>
    <t>погашение бюджетных кредитов на пополнение остатков средств на счете бюджета</t>
  </si>
  <si>
    <t>получение бюджетных кредитов на пополнение остатка средств на едином счете бюджета города Сарапула</t>
  </si>
  <si>
    <t>погашение бюджетных кредитов на пополнение остатка средств наедином счете бюджета города Сарапула</t>
  </si>
  <si>
    <t>получ от кред.орг-й в 2025г.</t>
  </si>
  <si>
    <t>погашение кр. от кред.орг-й в 2025г.</t>
  </si>
  <si>
    <t>получ кр. от бюджетов в 2025г.</t>
  </si>
  <si>
    <t>погашение кр. от бюджетов в 2025г.</t>
  </si>
  <si>
    <t>получ от кред.орг-й в 2026г.</t>
  </si>
  <si>
    <t>погашение кр. от кред.орг-й в 2026г.</t>
  </si>
  <si>
    <t>получ кр. от бюджетов в 2026г.</t>
  </si>
  <si>
    <t>ДОЛГ НА 01.01.2027г.</t>
  </si>
  <si>
    <t>Источники внутреннего финансирования дефицита бюджета города Сарапула на 2025 год</t>
  </si>
  <si>
    <t>руб.</t>
  </si>
  <si>
    <t>Источники внутреннего финансирования дефицита бюджета города Сарапула на плановый период 2026 и 2027 годов</t>
  </si>
  <si>
    <t>в решение 2026 год</t>
  </si>
  <si>
    <t>в решение 2027 год</t>
  </si>
  <si>
    <t>Источники внутреннего финансирования дефицита бюджета города Сарапула                                                                                                                                      на 2025 год и на плановый период 2026 и 2027 годов</t>
  </si>
  <si>
    <t>Сумма                        на 2025 год</t>
  </si>
  <si>
    <t>задолж на 01.01.2025г.</t>
  </si>
  <si>
    <t>ДОЛГ НА 01.01.2026.</t>
  </si>
  <si>
    <t>погашение кр. от бюджетов в 2026г.</t>
  </si>
  <si>
    <t>получ от кред.орг-й в 2027г.</t>
  </si>
  <si>
    <t>погашение кр. от кред.орг-й в 2027г.</t>
  </si>
  <si>
    <t>получ кр. от бюджетов в 2027г.</t>
  </si>
  <si>
    <t>погашение кр. от бюджетов в 2027.</t>
  </si>
  <si>
    <t>ДОЛГ НА 01.01.2028г.</t>
  </si>
  <si>
    <t>2- ое чтение</t>
  </si>
  <si>
    <t>2-ое чтение26 год</t>
  </si>
  <si>
    <t>2-ое чтение 27 год</t>
  </si>
  <si>
    <t>Сумма                 на 2026 год</t>
  </si>
  <si>
    <t>Сумма                на 2027 год</t>
  </si>
  <si>
    <t xml:space="preserve">                                                                     Приложение № 1 </t>
  </si>
  <si>
    <t>решения Сарапульской городской Думы</t>
  </si>
  <si>
    <t xml:space="preserve">                                                                                              от 26 декабря 2024 г. № 1-553</t>
  </si>
  <si>
    <t>поправки 6 февраля</t>
  </si>
  <si>
    <t xml:space="preserve">поправки 28 февраля </t>
  </si>
  <si>
    <t>поправки апрель</t>
  </si>
  <si>
    <t>поправки июнь</t>
  </si>
  <si>
    <t xml:space="preserve">поправки октябрь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</si>
</sst>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71" formatCode="_-* #,##0.00_р_._-;\-* #,##0.00_р_._-;_-* &quot;-&quot;??_р_._-;_-@_-"/>
    <numFmt numFmtId="175" formatCode="0.0"/>
    <numFmt numFmtId="187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2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8"/>
      <name val="Arial Cyr"/>
      <charset val="204"/>
    </font>
    <font>
      <sz val="16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b/>
      <sz val="16"/>
      <name val="Times New Roman Cyr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171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left"/>
    </xf>
    <xf numFmtId="175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175" fontId="7" fillId="0" borderId="1" xfId="0" applyNumberFormat="1" applyFont="1" applyFill="1" applyBorder="1" applyAlignment="1">
      <alignment horizontal="center"/>
    </xf>
    <xf numFmtId="175" fontId="4" fillId="0" borderId="1" xfId="0" applyNumberFormat="1" applyFont="1" applyFill="1" applyBorder="1" applyAlignment="1">
      <alignment horizontal="center"/>
    </xf>
    <xf numFmtId="175" fontId="6" fillId="0" borderId="1" xfId="0" applyNumberFormat="1" applyFont="1" applyFill="1" applyBorder="1" applyAlignment="1">
      <alignment horizontal="center"/>
    </xf>
    <xf numFmtId="175" fontId="3" fillId="0" borderId="1" xfId="0" applyNumberFormat="1" applyFont="1" applyFill="1" applyBorder="1" applyAlignment="1">
      <alignment horizontal="center"/>
    </xf>
    <xf numFmtId="175" fontId="3" fillId="0" borderId="2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/>
    <xf numFmtId="0" fontId="4" fillId="0" borderId="0" xfId="0" applyFont="1" applyBorder="1"/>
    <xf numFmtId="175" fontId="3" fillId="0" borderId="0" xfId="0" applyNumberFormat="1" applyFont="1" applyBorder="1" applyAlignment="1">
      <alignment horizontal="center"/>
    </xf>
    <xf numFmtId="0" fontId="11" fillId="0" borderId="0" xfId="1" applyFont="1" applyBorder="1" applyAlignment="1">
      <alignment horizontal="right"/>
    </xf>
    <xf numFmtId="2" fontId="11" fillId="0" borderId="0" xfId="1" applyNumberFormat="1" applyFont="1" applyBorder="1" applyAlignment="1">
      <alignment horizontal="right" wrapText="1"/>
    </xf>
    <xf numFmtId="187" fontId="14" fillId="0" borderId="0" xfId="0" applyNumberFormat="1" applyFont="1" applyAlignment="1">
      <alignment horizontal="left"/>
    </xf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75" fontId="4" fillId="0" borderId="0" xfId="0" applyNumberFormat="1" applyFont="1" applyAlignment="1">
      <alignment horizontal="left"/>
    </xf>
    <xf numFmtId="0" fontId="6" fillId="0" borderId="0" xfId="0" applyFont="1"/>
    <xf numFmtId="0" fontId="14" fillId="0" borderId="0" xfId="0" applyFont="1"/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6" fillId="0" borderId="0" xfId="0" applyFont="1" applyAlignment="1">
      <alignment horizontal="left"/>
    </xf>
    <xf numFmtId="175" fontId="6" fillId="0" borderId="0" xfId="0" applyNumberFormat="1" applyFont="1" applyAlignment="1">
      <alignment horizontal="left"/>
    </xf>
    <xf numFmtId="0" fontId="3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75" fontId="4" fillId="0" borderId="0" xfId="0" applyNumberFormat="1" applyFont="1"/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43" fontId="4" fillId="0" borderId="0" xfId="0" applyNumberFormat="1" applyFont="1"/>
    <xf numFmtId="0" fontId="9" fillId="0" borderId="0" xfId="0" applyFont="1"/>
    <xf numFmtId="171" fontId="14" fillId="0" borderId="0" xfId="2" applyFont="1"/>
    <xf numFmtId="171" fontId="14" fillId="0" borderId="0" xfId="2" applyFont="1" applyAlignment="1">
      <alignment horizontal="right"/>
    </xf>
    <xf numFmtId="0" fontId="7" fillId="2" borderId="1" xfId="0" applyFont="1" applyFill="1" applyBorder="1" applyAlignment="1">
      <alignment horizontal="left" wrapText="1"/>
    </xf>
    <xf numFmtId="171" fontId="6" fillId="0" borderId="1" xfId="2" applyFont="1" applyFill="1" applyBorder="1" applyAlignment="1">
      <alignment horizontal="center"/>
    </xf>
    <xf numFmtId="171" fontId="4" fillId="0" borderId="1" xfId="2" applyFont="1" applyFill="1" applyBorder="1" applyAlignment="1">
      <alignment horizontal="center"/>
    </xf>
    <xf numFmtId="171" fontId="3" fillId="0" borderId="1" xfId="2" applyFont="1" applyFill="1" applyBorder="1" applyAlignment="1">
      <alignment horizontal="center"/>
    </xf>
    <xf numFmtId="171" fontId="7" fillId="0" borderId="1" xfId="2" applyFont="1" applyFill="1" applyBorder="1" applyAlignment="1">
      <alignment horizontal="center"/>
    </xf>
    <xf numFmtId="171" fontId="4" fillId="2" borderId="1" xfId="2" applyFont="1" applyFill="1" applyBorder="1" applyAlignment="1">
      <alignment horizontal="center"/>
    </xf>
    <xf numFmtId="171" fontId="3" fillId="0" borderId="1" xfId="2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4" fontId="7" fillId="2" borderId="5" xfId="0" applyNumberFormat="1" applyFont="1" applyFill="1" applyBorder="1" applyAlignment="1">
      <alignment horizontal="center"/>
    </xf>
    <xf numFmtId="4" fontId="14" fillId="2" borderId="0" xfId="0" applyNumberFormat="1" applyFont="1" applyFill="1" applyBorder="1" applyAlignment="1">
      <alignment horizontal="left"/>
    </xf>
    <xf numFmtId="4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/>
    <xf numFmtId="4" fontId="6" fillId="0" borderId="1" xfId="0" applyNumberFormat="1" applyFont="1" applyBorder="1"/>
    <xf numFmtId="4" fontId="6" fillId="3" borderId="0" xfId="2" applyNumberFormat="1" applyFont="1" applyFill="1" applyBorder="1" applyAlignment="1">
      <alignment horizontal="left"/>
    </xf>
    <xf numFmtId="4" fontId="4" fillId="2" borderId="0" xfId="0" applyNumberFormat="1" applyFont="1" applyFill="1" applyBorder="1" applyAlignment="1">
      <alignment horizontal="left"/>
    </xf>
    <xf numFmtId="4" fontId="4" fillId="0" borderId="0" xfId="0" applyNumberFormat="1" applyFont="1" applyAlignment="1">
      <alignment horizontal="center"/>
    </xf>
    <xf numFmtId="0" fontId="13" fillId="0" borderId="0" xfId="0" applyFont="1" applyAlignment="1"/>
    <xf numFmtId="0" fontId="15" fillId="0" borderId="0" xfId="1" applyFont="1" applyBorder="1" applyAlignment="1">
      <alignment horizontal="right"/>
    </xf>
    <xf numFmtId="2" fontId="15" fillId="0" borderId="0" xfId="1" applyNumberFormat="1" applyFont="1" applyBorder="1" applyAlignment="1">
      <alignment horizontal="right" wrapText="1"/>
    </xf>
    <xf numFmtId="2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/>
    <xf numFmtId="2" fontId="6" fillId="0" borderId="1" xfId="0" applyNumberFormat="1" applyFont="1" applyBorder="1"/>
    <xf numFmtId="2" fontId="3" fillId="0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0" fillId="0" borderId="0" xfId="0" applyAlignment="1"/>
    <xf numFmtId="0" fontId="0" fillId="0" borderId="0" xfId="0" applyAlignment="1">
      <alignment wrapText="1"/>
    </xf>
    <xf numFmtId="0" fontId="11" fillId="0" borderId="0" xfId="1" applyFont="1" applyBorder="1" applyAlignment="1">
      <alignment horizontal="right"/>
    </xf>
    <xf numFmtId="0" fontId="1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3" fillId="0" borderId="0" xfId="0" applyFont="1" applyAlignment="1">
      <alignment horizontal="right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oshta\&#1054;&#1090;&#1076;&#1077;&#1083;%20&#1087;&#1083;&#1072;&#1085;&#1080;&#1088;&#1086;&#1074;&#1072;&#1085;&#1080;&#1103;\2025\&#1055;&#1086;&#1087;&#1088;&#1072;&#1074;&#1082;&#1080;\&#1044;&#1086;&#1093;&#1086;&#1076;&#1099;_2025%20(&#1076;&#1083;&#1103;%20&#1085;&#1072;&#108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 себя 5мес."/>
      <sheetName val="для пояснит2017"/>
      <sheetName val="2025"/>
      <sheetName val="2026-2027"/>
      <sheetName val="приложение к пояснит записке"/>
    </sheetNames>
    <sheetDataSet>
      <sheetData sheetId="0"/>
      <sheetData sheetId="1"/>
      <sheetData sheetId="2">
        <row r="138">
          <cell r="M138">
            <v>87201436</v>
          </cell>
        </row>
        <row r="140">
          <cell r="M140">
            <v>87201436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opLeftCell="A4" zoomScale="84" zoomScaleNormal="84" workbookViewId="0">
      <pane xSplit="2" ySplit="7" topLeftCell="I14" activePane="bottomRight" state="frozen"/>
      <selection activeCell="A4" sqref="A4"/>
      <selection pane="topRight" activeCell="C4" sqref="C4"/>
      <selection pane="bottomLeft" activeCell="A11" sqref="A11"/>
      <selection pane="bottomRight" activeCell="N26" sqref="N26"/>
    </sheetView>
  </sheetViews>
  <sheetFormatPr defaultRowHeight="18.75" x14ac:dyDescent="0.3"/>
  <cols>
    <col min="1" max="1" width="28.5703125" style="2" customWidth="1"/>
    <col min="2" max="2" width="75" style="2" customWidth="1"/>
    <col min="3" max="3" width="38.28515625" style="2" customWidth="1"/>
    <col min="4" max="4" width="21.85546875" style="3" customWidth="1"/>
    <col min="5" max="5" width="25.28515625" style="3" customWidth="1"/>
    <col min="6" max="6" width="24.140625" style="3" customWidth="1"/>
    <col min="7" max="7" width="23.140625" style="3" customWidth="1"/>
    <col min="8" max="8" width="22" style="3" customWidth="1"/>
    <col min="9" max="9" width="24.28515625" style="3" customWidth="1"/>
    <col min="10" max="10" width="19.28515625" style="3" customWidth="1"/>
    <col min="11" max="11" width="22.28515625" style="3" customWidth="1"/>
    <col min="12" max="12" width="23.5703125" style="3" customWidth="1"/>
    <col min="13" max="13" width="23.28515625" style="3" customWidth="1"/>
    <col min="14" max="14" width="18.85546875" style="3" customWidth="1"/>
    <col min="15" max="15" width="24.28515625" style="3" customWidth="1"/>
    <col min="16" max="16" width="14.42578125" style="3" customWidth="1"/>
    <col min="17" max="17" width="13.7109375" style="3" customWidth="1"/>
    <col min="18" max="16384" width="9.140625" style="3"/>
  </cols>
  <sheetData>
    <row r="1" spans="1:15" ht="20.25" x14ac:dyDescent="0.3">
      <c r="B1" s="91"/>
      <c r="C1" s="91"/>
      <c r="D1" s="1"/>
    </row>
    <row r="2" spans="1:15" ht="20.25" x14ac:dyDescent="0.3">
      <c r="B2" s="92"/>
      <c r="C2" s="92"/>
      <c r="D2" s="1"/>
    </row>
    <row r="3" spans="1:15" ht="20.25" x14ac:dyDescent="0.3">
      <c r="B3" s="92"/>
      <c r="C3" s="92"/>
      <c r="D3" s="1"/>
      <c r="H3" s="4"/>
    </row>
    <row r="4" spans="1:15" x14ac:dyDescent="0.3">
      <c r="H4" s="4"/>
    </row>
    <row r="6" spans="1:15" x14ac:dyDescent="0.3">
      <c r="B6" s="5" t="s">
        <v>48</v>
      </c>
    </row>
    <row r="7" spans="1:15" x14ac:dyDescent="0.3">
      <c r="B7" s="5"/>
    </row>
    <row r="8" spans="1:15" x14ac:dyDescent="0.3">
      <c r="B8" s="5"/>
    </row>
    <row r="9" spans="1:15" x14ac:dyDescent="0.3">
      <c r="C9" s="22" t="s">
        <v>49</v>
      </c>
    </row>
    <row r="10" spans="1:15" ht="40.5" customHeight="1" x14ac:dyDescent="0.3">
      <c r="A10" s="7" t="s">
        <v>2</v>
      </c>
      <c r="B10" s="7" t="s">
        <v>0</v>
      </c>
      <c r="C10" s="7" t="s">
        <v>3</v>
      </c>
      <c r="D10" s="25" t="s">
        <v>63</v>
      </c>
      <c r="E10" s="26" t="s">
        <v>25</v>
      </c>
      <c r="F10" s="25" t="s">
        <v>71</v>
      </c>
      <c r="G10" s="26" t="s">
        <v>25</v>
      </c>
      <c r="H10" s="25" t="s">
        <v>72</v>
      </c>
      <c r="I10" s="26" t="s">
        <v>25</v>
      </c>
      <c r="J10" s="39" t="s">
        <v>73</v>
      </c>
      <c r="K10" s="26" t="s">
        <v>25</v>
      </c>
      <c r="L10" s="39" t="s">
        <v>74</v>
      </c>
      <c r="M10" s="26" t="s">
        <v>25</v>
      </c>
      <c r="N10" s="39" t="s">
        <v>75</v>
      </c>
      <c r="O10" s="26" t="s">
        <v>25</v>
      </c>
    </row>
    <row r="11" spans="1:15" ht="39" customHeight="1" x14ac:dyDescent="0.3">
      <c r="A11" s="7" t="s">
        <v>7</v>
      </c>
      <c r="B11" s="13" t="s">
        <v>8</v>
      </c>
      <c r="C11" s="65">
        <f t="shared" ref="C11:I11" si="0">SUM(C12:C13)</f>
        <v>121692239.34999999</v>
      </c>
      <c r="D11" s="65">
        <f t="shared" si="0"/>
        <v>33000000</v>
      </c>
      <c r="E11" s="65">
        <f t="shared" si="0"/>
        <v>154692239.34999999</v>
      </c>
      <c r="F11" s="65">
        <f t="shared" si="0"/>
        <v>0</v>
      </c>
      <c r="G11" s="65">
        <f t="shared" si="0"/>
        <v>154692239.34999999</v>
      </c>
      <c r="H11" s="86">
        <f t="shared" si="0"/>
        <v>3633609.9</v>
      </c>
      <c r="I11" s="65">
        <f t="shared" si="0"/>
        <v>158325849.25</v>
      </c>
      <c r="J11" s="65">
        <f t="shared" ref="J11:O11" si="1">SUM(J12:J13)</f>
        <v>0</v>
      </c>
      <c r="K11" s="65">
        <f t="shared" si="1"/>
        <v>158325849.25</v>
      </c>
      <c r="L11" s="65">
        <f t="shared" si="1"/>
        <v>0</v>
      </c>
      <c r="M11" s="65">
        <f t="shared" si="1"/>
        <v>158325849.25</v>
      </c>
      <c r="N11" s="65">
        <f t="shared" si="1"/>
        <v>0</v>
      </c>
      <c r="O11" s="65">
        <f t="shared" si="1"/>
        <v>158325849.25</v>
      </c>
    </row>
    <row r="12" spans="1:15" ht="39.75" customHeight="1" x14ac:dyDescent="0.3">
      <c r="A12" s="8" t="s">
        <v>4</v>
      </c>
      <c r="B12" s="12" t="s">
        <v>18</v>
      </c>
      <c r="C12" s="66">
        <v>121692239.34999999</v>
      </c>
      <c r="D12" s="77">
        <f>13000000+20000000</f>
        <v>33000000</v>
      </c>
      <c r="E12" s="78">
        <f>SUM(C12:D12)</f>
        <v>154692239.34999999</v>
      </c>
      <c r="F12" s="78"/>
      <c r="G12" s="78">
        <f>SUM(E12:F12)</f>
        <v>154692239.34999999</v>
      </c>
      <c r="H12" s="87">
        <v>3633609.9</v>
      </c>
      <c r="I12" s="78">
        <f>SUM(G12:H12)</f>
        <v>158325849.25</v>
      </c>
      <c r="J12" s="78"/>
      <c r="K12" s="78">
        <f>SUM(I12:J12)</f>
        <v>158325849.25</v>
      </c>
      <c r="L12" s="78"/>
      <c r="M12" s="78">
        <f>SUM(K12:L12)</f>
        <v>158325849.25</v>
      </c>
      <c r="N12" s="78"/>
      <c r="O12" s="78">
        <f>SUM(M12:N12)</f>
        <v>158325849.25</v>
      </c>
    </row>
    <row r="13" spans="1:15" ht="39.75" customHeight="1" x14ac:dyDescent="0.3">
      <c r="A13" s="8" t="s">
        <v>5</v>
      </c>
      <c r="B13" s="12" t="s">
        <v>14</v>
      </c>
      <c r="C13" s="66">
        <v>0</v>
      </c>
      <c r="D13" s="77">
        <v>0</v>
      </c>
      <c r="E13" s="78">
        <f>SUM(C13:D13)</f>
        <v>0</v>
      </c>
      <c r="F13" s="78"/>
      <c r="G13" s="78">
        <f>SUM(E13:F13)</f>
        <v>0</v>
      </c>
      <c r="H13" s="87"/>
      <c r="I13" s="78">
        <f t="shared" ref="I13:I23" si="2">SUM(G13:H13)</f>
        <v>0</v>
      </c>
      <c r="J13" s="78"/>
      <c r="K13" s="78">
        <f t="shared" ref="K13:K23" si="3">SUM(I13:J13)</f>
        <v>0</v>
      </c>
      <c r="L13" s="78"/>
      <c r="M13" s="78">
        <f t="shared" ref="M13:M23" si="4">SUM(K13:L13)</f>
        <v>0</v>
      </c>
      <c r="N13" s="78"/>
      <c r="O13" s="78">
        <f t="shared" ref="O13:O23" si="5">SUM(M13:N13)</f>
        <v>0</v>
      </c>
    </row>
    <row r="14" spans="1:15" ht="39" customHeight="1" x14ac:dyDescent="0.3">
      <c r="A14" s="7" t="s">
        <v>9</v>
      </c>
      <c r="B14" s="13" t="s">
        <v>10</v>
      </c>
      <c r="C14" s="67">
        <f>C15+C18</f>
        <v>-34692239.350000024</v>
      </c>
      <c r="D14" s="67">
        <f>SUM(D15:D18)</f>
        <v>-33000000</v>
      </c>
      <c r="E14" s="79">
        <f>SUM(C14:D14)</f>
        <v>-67692239.350000024</v>
      </c>
      <c r="F14" s="79">
        <f>SUM(F15:F18)</f>
        <v>0</v>
      </c>
      <c r="G14" s="79">
        <f>SUM(E14:F14)</f>
        <v>-67692239.350000024</v>
      </c>
      <c r="H14" s="88">
        <f>SUM(H15:H18)</f>
        <v>0</v>
      </c>
      <c r="I14" s="79">
        <f t="shared" si="2"/>
        <v>-67692239.350000024</v>
      </c>
      <c r="J14" s="79">
        <f>SUM(J15:J18)</f>
        <v>0</v>
      </c>
      <c r="K14" s="79">
        <f t="shared" si="3"/>
        <v>-67692239.350000024</v>
      </c>
      <c r="L14" s="79">
        <f>SUM(L15:L18)</f>
        <v>0</v>
      </c>
      <c r="M14" s="79">
        <f t="shared" si="4"/>
        <v>-67692239.350000024</v>
      </c>
      <c r="N14" s="79">
        <f>SUM(N15:N18)</f>
        <v>0</v>
      </c>
      <c r="O14" s="79">
        <f t="shared" si="5"/>
        <v>-67692239.350000024</v>
      </c>
    </row>
    <row r="15" spans="1:15" ht="59.25" customHeight="1" x14ac:dyDescent="0.3">
      <c r="A15" s="14" t="s">
        <v>17</v>
      </c>
      <c r="B15" s="15" t="s">
        <v>19</v>
      </c>
      <c r="C15" s="68">
        <v>278552829</v>
      </c>
      <c r="D15" s="77">
        <v>0</v>
      </c>
      <c r="E15" s="78">
        <f>SUM(C15:D15)</f>
        <v>278552829</v>
      </c>
      <c r="F15" s="78">
        <v>0</v>
      </c>
      <c r="G15" s="78">
        <f>SUM(E15:F15)</f>
        <v>278552829</v>
      </c>
      <c r="H15" s="87"/>
      <c r="I15" s="78">
        <f t="shared" si="2"/>
        <v>278552829</v>
      </c>
      <c r="J15" s="78"/>
      <c r="K15" s="78">
        <f t="shared" si="3"/>
        <v>278552829</v>
      </c>
      <c r="L15" s="78"/>
      <c r="M15" s="78">
        <f t="shared" si="4"/>
        <v>278552829</v>
      </c>
      <c r="N15" s="78"/>
      <c r="O15" s="78">
        <f t="shared" si="5"/>
        <v>278552829</v>
      </c>
    </row>
    <row r="16" spans="1:15" ht="23.25" customHeight="1" x14ac:dyDescent="0.3">
      <c r="A16" s="14"/>
      <c r="B16" s="15" t="s">
        <v>35</v>
      </c>
      <c r="C16" s="68"/>
      <c r="D16" s="77"/>
      <c r="E16" s="78"/>
      <c r="F16" s="78"/>
      <c r="G16" s="78"/>
      <c r="H16" s="87"/>
      <c r="I16" s="78"/>
      <c r="J16" s="78"/>
      <c r="K16" s="78"/>
      <c r="L16" s="78"/>
      <c r="M16" s="78"/>
      <c r="N16" s="78"/>
      <c r="O16" s="78"/>
    </row>
    <row r="17" spans="1:16" ht="42" customHeight="1" x14ac:dyDescent="0.3">
      <c r="A17" s="14"/>
      <c r="B17" s="15" t="s">
        <v>36</v>
      </c>
      <c r="C17" s="68">
        <v>278552829</v>
      </c>
      <c r="D17" s="77"/>
      <c r="E17" s="78">
        <f>SUM(C17:D17)</f>
        <v>278552829</v>
      </c>
      <c r="F17" s="78">
        <v>0</v>
      </c>
      <c r="G17" s="78">
        <f>SUM(E17:F17)</f>
        <v>278552829</v>
      </c>
      <c r="H17" s="87"/>
      <c r="I17" s="78">
        <f>SUM(G17:H17)</f>
        <v>278552829</v>
      </c>
      <c r="J17" s="78"/>
      <c r="K17" s="78">
        <f>SUM(I17:J17)</f>
        <v>278552829</v>
      </c>
      <c r="L17" s="78"/>
      <c r="M17" s="78">
        <f>SUM(K17:L17)</f>
        <v>278552829</v>
      </c>
      <c r="N17" s="78"/>
      <c r="O17" s="78">
        <f>SUM(M17:N17)</f>
        <v>278552829</v>
      </c>
    </row>
    <row r="18" spans="1:16" ht="60" customHeight="1" x14ac:dyDescent="0.3">
      <c r="A18" s="8" t="s">
        <v>6</v>
      </c>
      <c r="B18" s="12" t="s">
        <v>20</v>
      </c>
      <c r="C18" s="66">
        <f>-34692239.35-278552829</f>
        <v>-313245068.35000002</v>
      </c>
      <c r="D18" s="77">
        <f>-13000000-20000000</f>
        <v>-33000000</v>
      </c>
      <c r="E18" s="78">
        <f>SUM(C18:D18)</f>
        <v>-346245068.35000002</v>
      </c>
      <c r="F18" s="78"/>
      <c r="G18" s="78">
        <f>SUM(E18:F18)</f>
        <v>-346245068.35000002</v>
      </c>
      <c r="H18" s="87"/>
      <c r="I18" s="78">
        <f t="shared" si="2"/>
        <v>-346245068.35000002</v>
      </c>
      <c r="J18" s="78"/>
      <c r="K18" s="78">
        <f t="shared" si="3"/>
        <v>-346245068.35000002</v>
      </c>
      <c r="L18" s="78"/>
      <c r="M18" s="78">
        <f t="shared" si="4"/>
        <v>-346245068.35000002</v>
      </c>
      <c r="N18" s="78"/>
      <c r="O18" s="78">
        <f t="shared" si="5"/>
        <v>-346245068.35000002</v>
      </c>
    </row>
    <row r="19" spans="1:16" ht="22.5" customHeight="1" x14ac:dyDescent="0.3">
      <c r="A19" s="8"/>
      <c r="B19" s="15" t="s">
        <v>35</v>
      </c>
      <c r="C19" s="66"/>
      <c r="D19" s="77"/>
      <c r="E19" s="78"/>
      <c r="F19" s="78"/>
      <c r="G19" s="78"/>
      <c r="H19" s="87"/>
      <c r="I19" s="78"/>
      <c r="J19" s="78"/>
      <c r="K19" s="78"/>
      <c r="L19" s="78"/>
      <c r="M19" s="78"/>
      <c r="N19" s="78"/>
      <c r="O19" s="78"/>
    </row>
    <row r="20" spans="1:16" ht="39.75" customHeight="1" x14ac:dyDescent="0.3">
      <c r="A20" s="8"/>
      <c r="B20" s="15" t="s">
        <v>37</v>
      </c>
      <c r="C20" s="66">
        <v>-278552829</v>
      </c>
      <c r="D20" s="77"/>
      <c r="E20" s="78">
        <f>SUM(C20:D20)</f>
        <v>-278552829</v>
      </c>
      <c r="F20" s="78"/>
      <c r="G20" s="78">
        <f>SUM(E20:F20)</f>
        <v>-278552829</v>
      </c>
      <c r="H20" s="87"/>
      <c r="I20" s="78">
        <f>SUM(G20:H20)</f>
        <v>-278552829</v>
      </c>
      <c r="J20" s="78"/>
      <c r="K20" s="78">
        <f>SUM(I20:J20)</f>
        <v>-278552829</v>
      </c>
      <c r="L20" s="78"/>
      <c r="M20" s="78">
        <f>SUM(K20:L20)</f>
        <v>-278552829</v>
      </c>
      <c r="N20" s="78"/>
      <c r="O20" s="78">
        <f>SUM(M20:N20)</f>
        <v>-278552829</v>
      </c>
    </row>
    <row r="21" spans="1:16" s="9" customFormat="1" ht="42" customHeight="1" x14ac:dyDescent="0.3">
      <c r="A21" s="7" t="s">
        <v>11</v>
      </c>
      <c r="B21" s="13" t="s">
        <v>12</v>
      </c>
      <c r="C21" s="69">
        <f>SUM(C22:C23)</f>
        <v>4717700</v>
      </c>
      <c r="D21" s="69">
        <f>SUM(D22:D23)</f>
        <v>0</v>
      </c>
      <c r="E21" s="79">
        <f>SUM(C21:D21)</f>
        <v>4717700</v>
      </c>
      <c r="F21" s="69">
        <f>SUM(F22:F23)</f>
        <v>0</v>
      </c>
      <c r="G21" s="79">
        <f>SUM(E21:F21)</f>
        <v>4717700</v>
      </c>
      <c r="H21" s="89">
        <f>SUM(H22:H23)</f>
        <v>773562.8200000003</v>
      </c>
      <c r="I21" s="79">
        <f t="shared" si="2"/>
        <v>5491262.8200000003</v>
      </c>
      <c r="J21" s="69">
        <f>SUM(J22:J23)</f>
        <v>5803565.3300000057</v>
      </c>
      <c r="K21" s="79">
        <f t="shared" si="3"/>
        <v>11294828.150000006</v>
      </c>
      <c r="L21" s="69">
        <f>SUM(L22:L23)</f>
        <v>0</v>
      </c>
      <c r="M21" s="79">
        <f t="shared" si="4"/>
        <v>11294828.150000006</v>
      </c>
      <c r="N21" s="69">
        <f>SUM(N22:N23)</f>
        <v>1415566</v>
      </c>
      <c r="O21" s="79">
        <f t="shared" si="5"/>
        <v>12710394.150000006</v>
      </c>
    </row>
    <row r="22" spans="1:16" s="9" customFormat="1" ht="42.75" customHeight="1" x14ac:dyDescent="0.3">
      <c r="A22" s="14" t="s">
        <v>16</v>
      </c>
      <c r="B22" s="15" t="s">
        <v>21</v>
      </c>
      <c r="C22" s="70">
        <f>-(3342633950.27+C12+C15)</f>
        <v>-3742879018.6199999</v>
      </c>
      <c r="D22" s="72">
        <f>-(797790657.08+D12+D15)</f>
        <v>-830790657.08000004</v>
      </c>
      <c r="E22" s="78">
        <f>SUM(C22:D22)</f>
        <v>-4573669675.6999998</v>
      </c>
      <c r="F22" s="78">
        <v>-20000000</v>
      </c>
      <c r="G22" s="78">
        <f>SUM(E22:F22)</f>
        <v>-4593669675.6999998</v>
      </c>
      <c r="H22" s="87">
        <f>-(16935907.55+2605200+H12+H15)</f>
        <v>-23174717.449999999</v>
      </c>
      <c r="I22" s="90">
        <f t="shared" si="2"/>
        <v>-4616844393.1499996</v>
      </c>
      <c r="J22" s="78">
        <v>-65000977.960000001</v>
      </c>
      <c r="K22" s="78">
        <f t="shared" si="3"/>
        <v>-4681845371.1099997</v>
      </c>
      <c r="L22" s="78">
        <f>-1*'[1]2025'!$M$138</f>
        <v>-87201436</v>
      </c>
      <c r="M22" s="78">
        <f t="shared" si="4"/>
        <v>-4769046807.1099997</v>
      </c>
      <c r="N22" s="78">
        <f>-53308734.59-240723-78885.26</f>
        <v>-53628342.850000001</v>
      </c>
      <c r="O22" s="78">
        <f t="shared" si="5"/>
        <v>-4822675149.96</v>
      </c>
    </row>
    <row r="23" spans="1:16" s="9" customFormat="1" ht="50.25" customHeight="1" x14ac:dyDescent="0.3">
      <c r="A23" s="14" t="s">
        <v>13</v>
      </c>
      <c r="B23" s="15" t="s">
        <v>15</v>
      </c>
      <c r="C23" s="70">
        <f>3434351650.27-C13-C18</f>
        <v>3747596718.6199999</v>
      </c>
      <c r="D23" s="72">
        <f>797790657.08-D13-D18</f>
        <v>830790657.08000004</v>
      </c>
      <c r="E23" s="78">
        <f>SUM(C23:D23)</f>
        <v>4578387375.6999998</v>
      </c>
      <c r="F23" s="78">
        <v>20000000</v>
      </c>
      <c r="G23" s="78">
        <f>SUM(E23:F23)</f>
        <v>4598387375.6999998</v>
      </c>
      <c r="H23" s="87">
        <f>23948280.27+H13+H18</f>
        <v>23948280.27</v>
      </c>
      <c r="I23" s="90">
        <f t="shared" si="2"/>
        <v>4622335655.9700003</v>
      </c>
      <c r="J23" s="78">
        <v>70804543.290000007</v>
      </c>
      <c r="K23" s="78">
        <f t="shared" si="3"/>
        <v>4693140199.2600002</v>
      </c>
      <c r="L23" s="78">
        <f>'[1]2025'!$M$140</f>
        <v>87201436</v>
      </c>
      <c r="M23" s="78">
        <f t="shared" si="4"/>
        <v>4780341635.2600002</v>
      </c>
      <c r="N23" s="78">
        <f>54724300.59+240723+78885.26</f>
        <v>55043908.850000001</v>
      </c>
      <c r="O23" s="78">
        <f t="shared" si="5"/>
        <v>4835385544.1100006</v>
      </c>
    </row>
    <row r="24" spans="1:16" x14ac:dyDescent="0.3">
      <c r="A24" s="8"/>
      <c r="B24" s="10" t="s">
        <v>1</v>
      </c>
      <c r="C24" s="65">
        <f t="shared" ref="C24:I24" si="6">C11+C14+C21</f>
        <v>91717699.99999997</v>
      </c>
      <c r="D24" s="65">
        <f t="shared" si="6"/>
        <v>0</v>
      </c>
      <c r="E24" s="11">
        <f t="shared" si="6"/>
        <v>91717699.99999997</v>
      </c>
      <c r="F24" s="65">
        <f t="shared" si="6"/>
        <v>0</v>
      </c>
      <c r="G24" s="65">
        <f t="shared" si="6"/>
        <v>91717699.99999997</v>
      </c>
      <c r="H24" s="86">
        <f t="shared" si="6"/>
        <v>4407172.7200000007</v>
      </c>
      <c r="I24" s="65">
        <f t="shared" si="6"/>
        <v>96124872.719999969</v>
      </c>
      <c r="J24" s="65">
        <f t="shared" ref="J24:O24" si="7">J11+J14+J21</f>
        <v>5803565.3300000057</v>
      </c>
      <c r="K24" s="65">
        <f t="shared" si="7"/>
        <v>101928438.04999998</v>
      </c>
      <c r="L24" s="65">
        <f t="shared" si="7"/>
        <v>0</v>
      </c>
      <c r="M24" s="65">
        <f t="shared" si="7"/>
        <v>101928438.04999998</v>
      </c>
      <c r="N24" s="65">
        <f t="shared" si="7"/>
        <v>1415566</v>
      </c>
      <c r="O24" s="65">
        <f t="shared" si="7"/>
        <v>103344004.04999998</v>
      </c>
      <c r="P24" s="28"/>
    </row>
    <row r="25" spans="1:16" x14ac:dyDescent="0.3">
      <c r="B25" s="38"/>
    </row>
    <row r="26" spans="1:16" ht="33" x14ac:dyDescent="0.45">
      <c r="A26" s="6"/>
      <c r="C26" s="32" t="s">
        <v>27</v>
      </c>
      <c r="E26" s="37"/>
    </row>
    <row r="27" spans="1:16" s="36" customFormat="1" x14ac:dyDescent="0.3">
      <c r="A27" s="33"/>
      <c r="B27" s="45" t="s">
        <v>55</v>
      </c>
      <c r="C27" s="80">
        <f>149282045.18-13000000-20000000-121978.2-212890.9</f>
        <v>115947176.08</v>
      </c>
      <c r="F27" s="46"/>
    </row>
    <row r="28" spans="1:16" x14ac:dyDescent="0.3">
      <c r="B28" s="34" t="s">
        <v>40</v>
      </c>
      <c r="C28" s="81">
        <f>O12</f>
        <v>158325849.25</v>
      </c>
      <c r="F28" s="35"/>
    </row>
    <row r="29" spans="1:16" x14ac:dyDescent="0.3">
      <c r="B29" s="34" t="s">
        <v>41</v>
      </c>
      <c r="C29" s="81">
        <f>O13</f>
        <v>0</v>
      </c>
      <c r="F29" s="35"/>
    </row>
    <row r="30" spans="1:16" x14ac:dyDescent="0.3">
      <c r="B30" s="34" t="s">
        <v>42</v>
      </c>
      <c r="C30" s="81">
        <f>O15</f>
        <v>278552829</v>
      </c>
      <c r="F30" s="35"/>
    </row>
    <row r="31" spans="1:16" x14ac:dyDescent="0.3">
      <c r="B31" s="34" t="s">
        <v>43</v>
      </c>
      <c r="C31" s="81">
        <f>O18</f>
        <v>-346245068.35000002</v>
      </c>
      <c r="F31" s="35"/>
    </row>
    <row r="32" spans="1:16" ht="20.25" x14ac:dyDescent="0.3">
      <c r="B32" s="33" t="s">
        <v>56</v>
      </c>
      <c r="C32" s="76">
        <f>SUM(C27:C31)</f>
        <v>206580785.9799999</v>
      </c>
      <c r="E32" s="36"/>
      <c r="F32" s="31"/>
    </row>
    <row r="33" spans="2:6" x14ac:dyDescent="0.3">
      <c r="B33" s="34" t="s">
        <v>44</v>
      </c>
      <c r="C33" s="81">
        <f>SUM('2026-2027гг'!G13)</f>
        <v>234929564.68000001</v>
      </c>
      <c r="E33" s="36"/>
      <c r="F33" s="35"/>
    </row>
    <row r="34" spans="2:6" x14ac:dyDescent="0.3">
      <c r="B34" s="34" t="s">
        <v>45</v>
      </c>
      <c r="C34" s="81">
        <f>SUM('2026-2027гг'!G14)</f>
        <v>-154692239.34999999</v>
      </c>
      <c r="E34" s="36"/>
      <c r="F34" s="35"/>
    </row>
    <row r="35" spans="2:6" x14ac:dyDescent="0.3">
      <c r="B35" s="34" t="s">
        <v>46</v>
      </c>
      <c r="C35" s="81">
        <f>SUM('2026-2027гг'!G16)</f>
        <v>0</v>
      </c>
      <c r="E35" s="36"/>
      <c r="F35" s="35"/>
    </row>
    <row r="36" spans="2:6" x14ac:dyDescent="0.3">
      <c r="B36" s="34" t="s">
        <v>57</v>
      </c>
      <c r="C36" s="81">
        <f>SUM('2026-2027гг'!G17)</f>
        <v>-27237261.329999998</v>
      </c>
      <c r="E36" s="36"/>
      <c r="F36" s="35"/>
    </row>
    <row r="37" spans="2:6" ht="20.25" x14ac:dyDescent="0.3">
      <c r="B37" s="33" t="s">
        <v>47</v>
      </c>
      <c r="C37" s="76">
        <f>SUM(C32:C36)</f>
        <v>259580849.97999996</v>
      </c>
      <c r="E37" s="36"/>
      <c r="F37" s="31"/>
    </row>
    <row r="38" spans="2:6" x14ac:dyDescent="0.3">
      <c r="B38" s="34" t="s">
        <v>58</v>
      </c>
      <c r="C38" s="81">
        <f>SUM('2026-2027гг'!H13)</f>
        <v>320000804.08000004</v>
      </c>
      <c r="E38" s="36"/>
      <c r="F38" s="35"/>
    </row>
    <row r="39" spans="2:6" x14ac:dyDescent="0.3">
      <c r="B39" s="34" t="s">
        <v>59</v>
      </c>
      <c r="C39" s="81">
        <f>SUM('2026-2027гг'!H14)</f>
        <v>-234929564.68000001</v>
      </c>
      <c r="E39" s="36"/>
      <c r="F39" s="35"/>
    </row>
    <row r="40" spans="2:6" x14ac:dyDescent="0.3">
      <c r="B40" s="34" t="s">
        <v>60</v>
      </c>
      <c r="C40" s="81">
        <f>SUM('2026-2027гг'!H16)</f>
        <v>0</v>
      </c>
      <c r="E40" s="36"/>
      <c r="F40" s="35"/>
    </row>
    <row r="41" spans="2:6" x14ac:dyDescent="0.3">
      <c r="B41" s="34" t="s">
        <v>61</v>
      </c>
      <c r="C41" s="81">
        <f>SUM('2026-2027гг'!H17)</f>
        <v>-54017675.399999999</v>
      </c>
      <c r="E41" s="36"/>
      <c r="F41" s="35"/>
    </row>
    <row r="42" spans="2:6" ht="20.25" x14ac:dyDescent="0.3">
      <c r="B42" s="33" t="s">
        <v>62</v>
      </c>
      <c r="C42" s="76">
        <f>SUM(C37:C41)</f>
        <v>290634413.97999996</v>
      </c>
      <c r="E42" s="36"/>
      <c r="F42" s="31"/>
    </row>
    <row r="43" spans="2:6" x14ac:dyDescent="0.3">
      <c r="C43" s="82"/>
    </row>
  </sheetData>
  <mergeCells count="3">
    <mergeCell ref="B1:C1"/>
    <mergeCell ref="B2:C2"/>
    <mergeCell ref="B3:C3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3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opLeftCell="A4" zoomScale="89" zoomScaleNormal="89" workbookViewId="0">
      <pane xSplit="2" ySplit="8" topLeftCell="C15" activePane="bottomRight" state="frozen"/>
      <selection activeCell="A4" sqref="A4"/>
      <selection pane="topRight" activeCell="C4" sqref="C4"/>
      <selection pane="bottomLeft" activeCell="A12" sqref="A12"/>
      <selection pane="bottomRight" activeCell="D13" sqref="D13"/>
    </sheetView>
  </sheetViews>
  <sheetFormatPr defaultRowHeight="18.75" x14ac:dyDescent="0.3"/>
  <cols>
    <col min="1" max="1" width="28.5703125" style="2" customWidth="1"/>
    <col min="2" max="2" width="52.28515625" style="2" customWidth="1"/>
    <col min="3" max="3" width="30.85546875" style="2" customWidth="1"/>
    <col min="4" max="4" width="30.7109375" style="3" customWidth="1"/>
    <col min="5" max="5" width="29.85546875" style="3" customWidth="1"/>
    <col min="6" max="6" width="25.140625" style="3" customWidth="1"/>
    <col min="7" max="7" width="28" style="3" customWidth="1"/>
    <col min="8" max="8" width="26.140625" style="3" customWidth="1"/>
    <col min="9" max="9" width="18.42578125" style="3" customWidth="1"/>
    <col min="10" max="10" width="18.42578125" style="3" hidden="1" customWidth="1"/>
    <col min="11" max="11" width="11.42578125" style="3" bestFit="1" customWidth="1"/>
    <col min="12" max="16384" width="9.140625" style="3"/>
  </cols>
  <sheetData>
    <row r="1" spans="1:11" ht="20.25" x14ac:dyDescent="0.3">
      <c r="B1" s="24" t="s">
        <v>23</v>
      </c>
      <c r="C1" s="24"/>
      <c r="D1" s="24"/>
      <c r="E1" s="24"/>
      <c r="F1" s="24"/>
      <c r="G1" s="24"/>
      <c r="H1" s="24"/>
      <c r="I1" s="24"/>
      <c r="J1" s="24"/>
    </row>
    <row r="2" spans="1:11" ht="20.25" x14ac:dyDescent="0.3">
      <c r="B2" s="40" t="s">
        <v>22</v>
      </c>
      <c r="C2" s="40"/>
      <c r="D2" s="40"/>
      <c r="E2" s="40"/>
      <c r="F2" s="40"/>
      <c r="G2" s="40"/>
      <c r="H2" s="40"/>
      <c r="I2" s="40"/>
      <c r="J2" s="40"/>
    </row>
    <row r="3" spans="1:11" ht="20.25" x14ac:dyDescent="0.3">
      <c r="B3" s="40" t="s">
        <v>24</v>
      </c>
      <c r="C3" s="40"/>
      <c r="D3" s="40"/>
      <c r="E3" s="40"/>
      <c r="F3" s="40"/>
      <c r="G3" s="40"/>
      <c r="H3" s="40"/>
      <c r="I3" s="40"/>
      <c r="J3" s="40"/>
    </row>
    <row r="6" spans="1:11" ht="18.75" customHeight="1" x14ac:dyDescent="0.3">
      <c r="A6" s="93" t="s">
        <v>50</v>
      </c>
      <c r="B6" s="94"/>
      <c r="C6" s="94"/>
      <c r="D6" s="94"/>
      <c r="E6" s="94"/>
      <c r="F6" s="94"/>
      <c r="G6" s="94"/>
    </row>
    <row r="7" spans="1:11" x14ac:dyDescent="0.3">
      <c r="A7" s="43"/>
      <c r="B7" s="43"/>
      <c r="C7" s="43"/>
    </row>
    <row r="8" spans="1:11" x14ac:dyDescent="0.3">
      <c r="B8" s="5"/>
    </row>
    <row r="9" spans="1:11" x14ac:dyDescent="0.3">
      <c r="C9" s="3"/>
      <c r="D9" s="22"/>
      <c r="E9" s="22"/>
      <c r="F9" s="22"/>
      <c r="G9" s="22"/>
      <c r="H9" s="22"/>
      <c r="I9" s="22"/>
      <c r="J9" s="22"/>
    </row>
    <row r="10" spans="1:11" ht="24.75" customHeight="1" x14ac:dyDescent="0.3">
      <c r="C10" s="50"/>
      <c r="D10" s="51"/>
      <c r="E10" s="51"/>
      <c r="F10" s="51"/>
      <c r="G10" s="51"/>
      <c r="H10" s="51"/>
      <c r="I10" s="51"/>
      <c r="J10" s="52"/>
    </row>
    <row r="11" spans="1:11" ht="55.5" customHeight="1" x14ac:dyDescent="0.3">
      <c r="A11" s="41" t="s">
        <v>2</v>
      </c>
      <c r="B11" s="42" t="s">
        <v>0</v>
      </c>
      <c r="C11" s="7">
        <v>2026</v>
      </c>
      <c r="D11" s="21">
        <v>2027</v>
      </c>
      <c r="E11" s="53" t="s">
        <v>64</v>
      </c>
      <c r="F11" s="53" t="s">
        <v>65</v>
      </c>
      <c r="G11" s="53" t="s">
        <v>51</v>
      </c>
      <c r="H11" s="53" t="s">
        <v>52</v>
      </c>
      <c r="I11" s="21"/>
      <c r="J11" s="21"/>
    </row>
    <row r="12" spans="1:11" ht="56.25" customHeight="1" x14ac:dyDescent="0.3">
      <c r="A12" s="21" t="s">
        <v>7</v>
      </c>
      <c r="B12" s="44" t="s">
        <v>8</v>
      </c>
      <c r="C12" s="59">
        <f t="shared" ref="C12:H12" si="0">SUM(C13:C14)</f>
        <v>80237325.330000013</v>
      </c>
      <c r="D12" s="59">
        <f t="shared" si="0"/>
        <v>85071239.400000036</v>
      </c>
      <c r="E12" s="59">
        <f t="shared" si="0"/>
        <v>0</v>
      </c>
      <c r="F12" s="59">
        <f t="shared" si="0"/>
        <v>0</v>
      </c>
      <c r="G12" s="59">
        <f t="shared" si="0"/>
        <v>80237325.330000013</v>
      </c>
      <c r="H12" s="59">
        <f t="shared" si="0"/>
        <v>85071239.400000036</v>
      </c>
      <c r="I12" s="18"/>
      <c r="J12" s="18"/>
    </row>
    <row r="13" spans="1:11" ht="56.25" customHeight="1" x14ac:dyDescent="0.3">
      <c r="A13" s="8" t="s">
        <v>4</v>
      </c>
      <c r="B13" s="12" t="s">
        <v>18</v>
      </c>
      <c r="C13" s="60">
        <f>171929564.68+30000000</f>
        <v>201929564.68000001</v>
      </c>
      <c r="D13" s="60">
        <f>227000804.08+30000000+30000000</f>
        <v>287000804.08000004</v>
      </c>
      <c r="E13" s="60">
        <f>13000000+20000000</f>
        <v>33000000</v>
      </c>
      <c r="F13" s="60">
        <f>13000000+20000000</f>
        <v>33000000</v>
      </c>
      <c r="G13" s="60">
        <f>C13+E13</f>
        <v>234929564.68000001</v>
      </c>
      <c r="H13" s="60">
        <f>D13+F13</f>
        <v>320000804.08000004</v>
      </c>
      <c r="I13" s="17"/>
      <c r="J13" s="17"/>
    </row>
    <row r="14" spans="1:11" ht="56.25" customHeight="1" x14ac:dyDescent="0.3">
      <c r="A14" s="8" t="s">
        <v>5</v>
      </c>
      <c r="B14" s="12" t="s">
        <v>14</v>
      </c>
      <c r="C14" s="60">
        <v>-121692239.34999999</v>
      </c>
      <c r="D14" s="60">
        <f>-171929564.68-30000000</f>
        <v>-201929564.68000001</v>
      </c>
      <c r="E14" s="60">
        <f>-13000000-20000000</f>
        <v>-33000000</v>
      </c>
      <c r="F14" s="60">
        <f>-13000000-20000000</f>
        <v>-33000000</v>
      </c>
      <c r="G14" s="60">
        <f>C14+E14</f>
        <v>-154692239.34999999</v>
      </c>
      <c r="H14" s="60">
        <f>D14+F14</f>
        <v>-234929564.68000001</v>
      </c>
      <c r="I14" s="17"/>
      <c r="J14" s="17"/>
    </row>
    <row r="15" spans="1:11" ht="55.5" customHeight="1" x14ac:dyDescent="0.3">
      <c r="A15" s="7" t="s">
        <v>9</v>
      </c>
      <c r="B15" s="13" t="s">
        <v>10</v>
      </c>
      <c r="C15" s="61">
        <f t="shared" ref="C15:H15" si="1">SUM(C16:C17)</f>
        <v>-27237261.329999998</v>
      </c>
      <c r="D15" s="61">
        <f t="shared" si="1"/>
        <v>-54017675.399999999</v>
      </c>
      <c r="E15" s="61">
        <f t="shared" si="1"/>
        <v>0</v>
      </c>
      <c r="F15" s="61">
        <f t="shared" si="1"/>
        <v>0</v>
      </c>
      <c r="G15" s="61">
        <f t="shared" si="1"/>
        <v>-27237261.329999998</v>
      </c>
      <c r="H15" s="61">
        <f t="shared" si="1"/>
        <v>-54017675.399999999</v>
      </c>
      <c r="I15" s="19"/>
      <c r="J15" s="19"/>
    </row>
    <row r="16" spans="1:11" ht="83.25" customHeight="1" x14ac:dyDescent="0.3">
      <c r="A16" s="14" t="s">
        <v>17</v>
      </c>
      <c r="B16" s="15" t="s">
        <v>19</v>
      </c>
      <c r="C16" s="62">
        <v>0</v>
      </c>
      <c r="D16" s="62">
        <v>0</v>
      </c>
      <c r="E16" s="62"/>
      <c r="F16" s="62"/>
      <c r="G16" s="60">
        <f>C16+E16</f>
        <v>0</v>
      </c>
      <c r="H16" s="60">
        <f>D16+F16</f>
        <v>0</v>
      </c>
      <c r="I16" s="16"/>
      <c r="J16" s="16"/>
      <c r="K16" s="49"/>
    </row>
    <row r="17" spans="1:10" ht="75.75" customHeight="1" x14ac:dyDescent="0.3">
      <c r="A17" s="8" t="s">
        <v>6</v>
      </c>
      <c r="B17" s="12" t="s">
        <v>20</v>
      </c>
      <c r="C17" s="60">
        <v>-27237261.329999998</v>
      </c>
      <c r="D17" s="60">
        <v>-54017675.399999999</v>
      </c>
      <c r="E17" s="60"/>
      <c r="F17" s="60"/>
      <c r="G17" s="60">
        <f>C17+E17</f>
        <v>-27237261.329999998</v>
      </c>
      <c r="H17" s="60">
        <f>D17+F17</f>
        <v>-54017675.399999999</v>
      </c>
      <c r="I17" s="17"/>
      <c r="J17" s="17"/>
    </row>
    <row r="18" spans="1:10" s="9" customFormat="1" ht="42" customHeight="1" x14ac:dyDescent="0.3">
      <c r="A18" s="7" t="s">
        <v>11</v>
      </c>
      <c r="B18" s="13" t="s">
        <v>12</v>
      </c>
      <c r="C18" s="61">
        <f t="shared" ref="C18:H18" si="2">SUM(C19:C20)</f>
        <v>3133300</v>
      </c>
      <c r="D18" s="61">
        <f t="shared" si="2"/>
        <v>2393900</v>
      </c>
      <c r="E18" s="61">
        <f t="shared" si="2"/>
        <v>0</v>
      </c>
      <c r="F18" s="61">
        <f t="shared" si="2"/>
        <v>0</v>
      </c>
      <c r="G18" s="61">
        <f t="shared" si="2"/>
        <v>3133300</v>
      </c>
      <c r="H18" s="61">
        <f t="shared" si="2"/>
        <v>2393900</v>
      </c>
      <c r="I18" s="19"/>
      <c r="J18" s="19"/>
    </row>
    <row r="19" spans="1:10" s="9" customFormat="1" ht="42.75" customHeight="1" x14ac:dyDescent="0.3">
      <c r="A19" s="14" t="s">
        <v>16</v>
      </c>
      <c r="B19" s="15" t="s">
        <v>21</v>
      </c>
      <c r="C19" s="63">
        <f>-(3451884674.62+C13+C16)</f>
        <v>-3653814239.2999997</v>
      </c>
      <c r="D19" s="63">
        <f>-(3652284335.24+D13+D16)</f>
        <v>-3939285139.3199997</v>
      </c>
      <c r="E19" s="60">
        <f>-(214944112.45+E13+E16)</f>
        <v>-247944112.44999999</v>
      </c>
      <c r="F19" s="60">
        <f>-(196289017.66+F13+F16)</f>
        <v>-229289017.66</v>
      </c>
      <c r="G19" s="63">
        <f>C19+E19</f>
        <v>-3901758351.7499995</v>
      </c>
      <c r="H19" s="63">
        <f>D19+F19</f>
        <v>-4168574156.9799995</v>
      </c>
      <c r="I19" s="17"/>
      <c r="J19" s="17"/>
    </row>
    <row r="20" spans="1:10" s="9" customFormat="1" ht="50.25" customHeight="1" x14ac:dyDescent="0.3">
      <c r="A20" s="14" t="s">
        <v>13</v>
      </c>
      <c r="B20" s="15" t="s">
        <v>15</v>
      </c>
      <c r="C20" s="63">
        <f>3508018038.62-C14-C17</f>
        <v>3656947539.2999997</v>
      </c>
      <c r="D20" s="63">
        <f>3685731799.24-D14-D17</f>
        <v>3941679039.3199997</v>
      </c>
      <c r="E20" s="60">
        <f>214944112.45-E14-E17</f>
        <v>247944112.44999999</v>
      </c>
      <c r="F20" s="60">
        <f>196289017.66-F14-F17</f>
        <v>229289017.66</v>
      </c>
      <c r="G20" s="63">
        <f>C20+E20</f>
        <v>3904891651.7499995</v>
      </c>
      <c r="H20" s="63">
        <f>D20+F20</f>
        <v>4170968056.9799995</v>
      </c>
      <c r="I20" s="17"/>
      <c r="J20" s="17"/>
    </row>
    <row r="21" spans="1:10" ht="21.75" customHeight="1" x14ac:dyDescent="0.3">
      <c r="A21" s="8"/>
      <c r="B21" s="10" t="s">
        <v>1</v>
      </c>
      <c r="C21" s="64">
        <f t="shared" ref="C21:H21" si="3">C12+C15+C18</f>
        <v>56133364.000000015</v>
      </c>
      <c r="D21" s="64">
        <f t="shared" si="3"/>
        <v>33447464.000000037</v>
      </c>
      <c r="E21" s="64">
        <f t="shared" si="3"/>
        <v>0</v>
      </c>
      <c r="F21" s="64">
        <f t="shared" si="3"/>
        <v>0</v>
      </c>
      <c r="G21" s="64">
        <f t="shared" si="3"/>
        <v>56133364.000000015</v>
      </c>
      <c r="H21" s="64">
        <f t="shared" si="3"/>
        <v>33447464.000000037</v>
      </c>
      <c r="I21" s="11"/>
      <c r="J21" s="11"/>
    </row>
    <row r="24" spans="1:10" ht="33" x14ac:dyDescent="0.45">
      <c r="A24" s="6"/>
    </row>
    <row r="25" spans="1:10" ht="33" x14ac:dyDescent="0.45">
      <c r="A25" s="6"/>
    </row>
    <row r="26" spans="1:10" ht="33" x14ac:dyDescent="0.45">
      <c r="A26" s="6"/>
    </row>
  </sheetData>
  <mergeCells count="1">
    <mergeCell ref="A6:G6"/>
  </mergeCells>
  <phoneticPr fontId="8" type="noConversion"/>
  <pageMargins left="0.62992125984251968" right="0.43307086614173229" top="0.98425196850393704" bottom="0.98425196850393704" header="0.51181102362204722" footer="0.51181102362204722"/>
  <pageSetup paperSize="9" scale="5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showGridLines="0" tabSelected="1" zoomScale="75" zoomScaleNormal="75" workbookViewId="0">
      <selection sqref="A1:IV4"/>
    </sheetView>
  </sheetViews>
  <sheetFormatPr defaultRowHeight="18.75" x14ac:dyDescent="0.3"/>
  <cols>
    <col min="1" max="1" width="29.28515625" style="2" customWidth="1"/>
    <col min="2" max="2" width="75" style="2" customWidth="1"/>
    <col min="3" max="3" width="25" style="2" customWidth="1"/>
    <col min="4" max="4" width="23.28515625" style="27" customWidth="1"/>
    <col min="5" max="5" width="23.42578125" style="27" customWidth="1"/>
    <col min="6" max="6" width="13" style="3" customWidth="1"/>
    <col min="7" max="9" width="9.140625" style="3"/>
    <col min="10" max="10" width="10.140625" style="3" customWidth="1"/>
    <col min="11" max="11" width="9.140625" style="3"/>
    <col min="12" max="12" width="23.28515625" style="3" customWidth="1"/>
    <col min="13" max="13" width="9.140625" style="3"/>
    <col min="14" max="14" width="22.140625" style="3" customWidth="1"/>
    <col min="15" max="16384" width="9.140625" style="3"/>
  </cols>
  <sheetData>
    <row r="1" spans="1:14" x14ac:dyDescent="0.3">
      <c r="B1" s="96"/>
      <c r="C1" s="97"/>
      <c r="D1" s="84"/>
      <c r="E1" s="84" t="s">
        <v>68</v>
      </c>
    </row>
    <row r="2" spans="1:14" x14ac:dyDescent="0.3">
      <c r="B2" s="30"/>
      <c r="C2" s="29"/>
      <c r="D2" s="85"/>
      <c r="E2" s="84" t="s">
        <v>69</v>
      </c>
      <c r="H2" s="4"/>
    </row>
    <row r="3" spans="1:14" x14ac:dyDescent="0.3">
      <c r="B3" s="83"/>
      <c r="C3" s="83"/>
      <c r="D3" s="98" t="s">
        <v>70</v>
      </c>
      <c r="E3" s="98"/>
      <c r="H3" s="4"/>
    </row>
    <row r="5" spans="1:14" ht="43.5" customHeight="1" x14ac:dyDescent="0.3">
      <c r="A5" s="93" t="s">
        <v>53</v>
      </c>
      <c r="B5" s="95"/>
      <c r="C5" s="95"/>
      <c r="D5" s="95"/>
      <c r="E5" s="95"/>
    </row>
    <row r="6" spans="1:14" x14ac:dyDescent="0.3">
      <c r="B6" s="5"/>
    </row>
    <row r="7" spans="1:14" x14ac:dyDescent="0.3">
      <c r="B7" s="5"/>
    </row>
    <row r="8" spans="1:14" x14ac:dyDescent="0.3">
      <c r="E8" s="22" t="s">
        <v>49</v>
      </c>
    </row>
    <row r="9" spans="1:14" ht="36" customHeight="1" x14ac:dyDescent="0.3">
      <c r="A9" s="7" t="s">
        <v>2</v>
      </c>
      <c r="B9" s="7" t="s">
        <v>0</v>
      </c>
      <c r="C9" s="48" t="s">
        <v>54</v>
      </c>
      <c r="D9" s="47" t="s">
        <v>66</v>
      </c>
      <c r="E9" s="48" t="s">
        <v>67</v>
      </c>
    </row>
    <row r="10" spans="1:14" ht="48" customHeight="1" x14ac:dyDescent="0.3">
      <c r="A10" s="7" t="s">
        <v>7</v>
      </c>
      <c r="B10" s="13" t="s">
        <v>8</v>
      </c>
      <c r="C10" s="65">
        <f>'2025'!O11</f>
        <v>158325849.25</v>
      </c>
      <c r="D10" s="71">
        <f>'2026-2027гг'!G12</f>
        <v>80237325.330000013</v>
      </c>
      <c r="E10" s="65">
        <f>'2026-2027гг'!H12</f>
        <v>85071239.400000036</v>
      </c>
    </row>
    <row r="11" spans="1:14" ht="45.75" customHeight="1" x14ac:dyDescent="0.3">
      <c r="A11" s="8" t="s">
        <v>4</v>
      </c>
      <c r="B11" s="15" t="s">
        <v>18</v>
      </c>
      <c r="C11" s="72">
        <f>'2025'!O12</f>
        <v>158325849.25</v>
      </c>
      <c r="D11" s="73">
        <f>'2026-2027гг'!G13</f>
        <v>234929564.68000001</v>
      </c>
      <c r="E11" s="72">
        <f>'2026-2027гг'!H13</f>
        <v>320000804.08000004</v>
      </c>
      <c r="J11" s="55"/>
      <c r="K11" s="55"/>
      <c r="L11" s="55"/>
      <c r="M11" s="55"/>
      <c r="N11" s="55"/>
    </row>
    <row r="12" spans="1:14" ht="45" customHeight="1" x14ac:dyDescent="0.3">
      <c r="A12" s="8" t="s">
        <v>5</v>
      </c>
      <c r="B12" s="15" t="s">
        <v>14</v>
      </c>
      <c r="C12" s="72">
        <f>'2025'!O13</f>
        <v>0</v>
      </c>
      <c r="D12" s="73">
        <f>'2026-2027гг'!G14</f>
        <v>-154692239.34999999</v>
      </c>
      <c r="E12" s="72">
        <f>'2026-2027гг'!H14</f>
        <v>-234929564.68000001</v>
      </c>
      <c r="K12" s="55"/>
      <c r="L12" s="56"/>
      <c r="M12" s="37"/>
      <c r="N12" s="57"/>
    </row>
    <row r="13" spans="1:14" ht="39.75" customHeight="1" x14ac:dyDescent="0.3">
      <c r="A13" s="7" t="s">
        <v>9</v>
      </c>
      <c r="B13" s="13" t="s">
        <v>10</v>
      </c>
      <c r="C13" s="65">
        <f>'2025'!O14</f>
        <v>-67692239.350000024</v>
      </c>
      <c r="D13" s="71">
        <f>'2026-2027гг'!G15</f>
        <v>-27237261.329999998</v>
      </c>
      <c r="E13" s="65">
        <f>'2026-2027гг'!H15</f>
        <v>-54017675.399999999</v>
      </c>
      <c r="K13" s="55"/>
      <c r="L13" s="56"/>
      <c r="M13" s="37"/>
      <c r="N13" s="57"/>
    </row>
    <row r="14" spans="1:14" ht="54.75" customHeight="1" x14ac:dyDescent="0.3">
      <c r="A14" s="14" t="s">
        <v>30</v>
      </c>
      <c r="B14" s="15" t="s">
        <v>19</v>
      </c>
      <c r="C14" s="72">
        <f>'2025'!O15</f>
        <v>278552829</v>
      </c>
      <c r="D14" s="73">
        <f>'2026-2027гг'!G16</f>
        <v>0</v>
      </c>
      <c r="E14" s="72">
        <f>'2026-2027гг'!H16</f>
        <v>0</v>
      </c>
      <c r="K14" s="55"/>
      <c r="L14" s="56"/>
      <c r="M14" s="37"/>
      <c r="N14" s="57"/>
    </row>
    <row r="15" spans="1:14" ht="30.75" hidden="1" customHeight="1" x14ac:dyDescent="0.3">
      <c r="A15" s="26"/>
      <c r="B15" s="15" t="s">
        <v>35</v>
      </c>
      <c r="C15" s="72"/>
      <c r="D15" s="73"/>
      <c r="E15" s="72"/>
    </row>
    <row r="16" spans="1:14" ht="42" hidden="1" customHeight="1" x14ac:dyDescent="0.3">
      <c r="A16" s="14" t="s">
        <v>30</v>
      </c>
      <c r="B16" s="58" t="s">
        <v>38</v>
      </c>
      <c r="C16" s="72">
        <f>'2025'!I17</f>
        <v>278552829</v>
      </c>
      <c r="D16" s="73">
        <v>0</v>
      </c>
      <c r="E16" s="72">
        <v>0</v>
      </c>
      <c r="J16" s="54"/>
    </row>
    <row r="17" spans="1:10" ht="58.5" customHeight="1" x14ac:dyDescent="0.3">
      <c r="A17" s="14" t="s">
        <v>29</v>
      </c>
      <c r="B17" s="58" t="s">
        <v>20</v>
      </c>
      <c r="C17" s="72">
        <f>'2025'!O18</f>
        <v>-346245068.35000002</v>
      </c>
      <c r="D17" s="73">
        <f>'2026-2027гг'!G17</f>
        <v>-27237261.329999998</v>
      </c>
      <c r="E17" s="72">
        <f>'2026-2027гг'!H17</f>
        <v>-54017675.399999999</v>
      </c>
      <c r="J17" s="54"/>
    </row>
    <row r="18" spans="1:10" ht="28.5" hidden="1" customHeight="1" x14ac:dyDescent="0.3">
      <c r="A18" s="14"/>
      <c r="B18" s="58" t="s">
        <v>35</v>
      </c>
      <c r="C18" s="72"/>
      <c r="D18" s="73"/>
      <c r="E18" s="72"/>
    </row>
    <row r="19" spans="1:10" ht="43.5" hidden="1" customHeight="1" x14ac:dyDescent="0.3">
      <c r="A19" s="14" t="s">
        <v>29</v>
      </c>
      <c r="B19" s="58" t="s">
        <v>39</v>
      </c>
      <c r="C19" s="72">
        <f>'2025'!I20</f>
        <v>-278552829</v>
      </c>
      <c r="D19" s="73">
        <v>0</v>
      </c>
      <c r="E19" s="72">
        <v>0</v>
      </c>
      <c r="J19" s="54"/>
    </row>
    <row r="20" spans="1:10" s="9" customFormat="1" ht="41.25" customHeight="1" x14ac:dyDescent="0.3">
      <c r="A20" s="7" t="s">
        <v>11</v>
      </c>
      <c r="B20" s="13" t="s">
        <v>12</v>
      </c>
      <c r="C20" s="65">
        <f>'2025'!O21</f>
        <v>12710394.150000006</v>
      </c>
      <c r="D20" s="71">
        <f>'2026-2027гг'!G18</f>
        <v>3133300</v>
      </c>
      <c r="E20" s="65">
        <f>'2026-2027гг'!H18</f>
        <v>2393900</v>
      </c>
    </row>
    <row r="21" spans="1:10" s="9" customFormat="1" ht="46.5" customHeight="1" x14ac:dyDescent="0.3">
      <c r="A21" s="14" t="s">
        <v>16</v>
      </c>
      <c r="B21" s="15" t="s">
        <v>21</v>
      </c>
      <c r="C21" s="74">
        <f>'2025'!O22</f>
        <v>-4822675149.96</v>
      </c>
      <c r="D21" s="75">
        <f>'2026-2027гг'!G19</f>
        <v>-3901758351.7499995</v>
      </c>
      <c r="E21" s="74">
        <f>'2026-2027гг'!H19</f>
        <v>-4168574156.9799995</v>
      </c>
    </row>
    <row r="22" spans="1:10" s="9" customFormat="1" ht="52.5" customHeight="1" x14ac:dyDescent="0.3">
      <c r="A22" s="14" t="s">
        <v>13</v>
      </c>
      <c r="B22" s="15" t="s">
        <v>15</v>
      </c>
      <c r="C22" s="74">
        <f>'2025'!O23</f>
        <v>4835385544.1100006</v>
      </c>
      <c r="D22" s="75">
        <f>'2026-2027гг'!G20</f>
        <v>3904891651.7499995</v>
      </c>
      <c r="E22" s="74">
        <f>'2026-2027гг'!H20</f>
        <v>4170968056.9799995</v>
      </c>
    </row>
    <row r="23" spans="1:10" ht="22.5" customHeight="1" x14ac:dyDescent="0.3">
      <c r="A23" s="8"/>
      <c r="B23" s="10" t="s">
        <v>1</v>
      </c>
      <c r="C23" s="65">
        <f>'2025'!O24</f>
        <v>103344004.04999998</v>
      </c>
      <c r="D23" s="71">
        <f>'2026-2027гг'!G21</f>
        <v>56133364.000000015</v>
      </c>
      <c r="E23" s="65">
        <f>'2026-2027гг'!H21</f>
        <v>33447464.000000037</v>
      </c>
    </row>
    <row r="26" spans="1:10" ht="20.25" x14ac:dyDescent="0.3">
      <c r="A26" s="23"/>
      <c r="B26" s="24"/>
      <c r="C26" s="24"/>
    </row>
    <row r="27" spans="1:10" ht="20.25" x14ac:dyDescent="0.3">
      <c r="A27" s="23"/>
      <c r="B27" s="24"/>
      <c r="C27" s="24"/>
    </row>
    <row r="30" spans="1:10" ht="33" x14ac:dyDescent="0.45">
      <c r="A30" s="6"/>
    </row>
    <row r="31" spans="1:10" ht="33" x14ac:dyDescent="0.45">
      <c r="A31" s="6"/>
    </row>
    <row r="32" spans="1:10" ht="33" x14ac:dyDescent="0.45">
      <c r="A32" s="6"/>
    </row>
  </sheetData>
  <mergeCells count="3">
    <mergeCell ref="A5:E5"/>
    <mergeCell ref="B1:C1"/>
    <mergeCell ref="D3:E3"/>
  </mergeCells>
  <printOptions horizontalCentered="1"/>
  <pageMargins left="0.59055118110236227" right="0.39370078740157483" top="0.59055118110236227" bottom="0.74803149606299213" header="0.31496062992125984" footer="0.31496062992125984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opLeftCell="A4" zoomScaleNormal="100" workbookViewId="0">
      <selection activeCell="C20" sqref="C20"/>
    </sheetView>
  </sheetViews>
  <sheetFormatPr defaultRowHeight="18.75" x14ac:dyDescent="0.3"/>
  <cols>
    <col min="1" max="1" width="28.5703125" style="2" customWidth="1"/>
    <col min="2" max="2" width="75" style="2" customWidth="1"/>
    <col min="3" max="3" width="22" style="2" customWidth="1"/>
    <col min="4" max="4" width="18.42578125" style="3" customWidth="1"/>
    <col min="5" max="16384" width="9.140625" style="3"/>
  </cols>
  <sheetData>
    <row r="1" spans="1:4" x14ac:dyDescent="0.3">
      <c r="B1" s="96" t="s">
        <v>28</v>
      </c>
      <c r="C1" s="96"/>
      <c r="D1" s="96"/>
    </row>
    <row r="2" spans="1:4" x14ac:dyDescent="0.3">
      <c r="B2" s="96" t="s">
        <v>26</v>
      </c>
      <c r="C2" s="96"/>
      <c r="D2" s="96"/>
    </row>
    <row r="3" spans="1:4" x14ac:dyDescent="0.3">
      <c r="B3" s="96" t="s">
        <v>33</v>
      </c>
      <c r="C3" s="96"/>
      <c r="D3" s="96"/>
    </row>
    <row r="4" spans="1:4" x14ac:dyDescent="0.3">
      <c r="B4" s="29"/>
      <c r="C4" s="29"/>
      <c r="D4" s="29"/>
    </row>
    <row r="5" spans="1:4" ht="20.25" customHeight="1" x14ac:dyDescent="0.3">
      <c r="B5" s="96"/>
      <c r="C5" s="96"/>
      <c r="D5" s="96"/>
    </row>
    <row r="6" spans="1:4" ht="20.25" customHeight="1" x14ac:dyDescent="0.3">
      <c r="B6" s="96"/>
      <c r="C6" s="96"/>
      <c r="D6" s="96"/>
    </row>
    <row r="7" spans="1:4" ht="20.25" customHeight="1" x14ac:dyDescent="0.3">
      <c r="B7" s="105"/>
      <c r="C7" s="105"/>
      <c r="D7" s="105"/>
    </row>
    <row r="10" spans="1:4" ht="18.75" customHeight="1" x14ac:dyDescent="0.3">
      <c r="A10" s="93" t="s">
        <v>34</v>
      </c>
      <c r="B10" s="93"/>
      <c r="C10" s="93"/>
    </row>
    <row r="11" spans="1:4" x14ac:dyDescent="0.3">
      <c r="A11" s="93"/>
      <c r="B11" s="93"/>
      <c r="C11" s="93"/>
    </row>
    <row r="12" spans="1:4" x14ac:dyDescent="0.3">
      <c r="B12" s="5"/>
    </row>
    <row r="13" spans="1:4" x14ac:dyDescent="0.3">
      <c r="C13" s="3"/>
      <c r="D13" s="22"/>
    </row>
    <row r="14" spans="1:4" ht="24.75" customHeight="1" x14ac:dyDescent="0.3">
      <c r="A14" s="99" t="s">
        <v>2</v>
      </c>
      <c r="B14" s="101" t="s">
        <v>0</v>
      </c>
      <c r="C14" s="103" t="s">
        <v>3</v>
      </c>
      <c r="D14" s="104"/>
    </row>
    <row r="15" spans="1:4" ht="25.5" customHeight="1" x14ac:dyDescent="0.3">
      <c r="A15" s="100"/>
      <c r="B15" s="102"/>
      <c r="C15" s="7" t="s">
        <v>31</v>
      </c>
      <c r="D15" s="21" t="s">
        <v>32</v>
      </c>
    </row>
    <row r="16" spans="1:4" ht="45" customHeight="1" x14ac:dyDescent="0.3">
      <c r="A16" s="7" t="s">
        <v>7</v>
      </c>
      <c r="B16" s="13" t="s">
        <v>8</v>
      </c>
      <c r="C16" s="20">
        <f>'2026-2027гг'!G12</f>
        <v>80237325.330000013</v>
      </c>
      <c r="D16" s="20" t="e">
        <f>IF('2026-2027гг'!D12=0,0,'2026-2027гг'!#REF!)</f>
        <v>#REF!</v>
      </c>
    </row>
    <row r="17" spans="1:4" ht="45" customHeight="1" x14ac:dyDescent="0.3">
      <c r="A17" s="8" t="s">
        <v>4</v>
      </c>
      <c r="B17" s="12" t="s">
        <v>18</v>
      </c>
      <c r="C17" s="20">
        <f>'2026-2027гг'!G13</f>
        <v>234929564.68000001</v>
      </c>
      <c r="D17" s="20" t="e">
        <f>IF('2026-2027гг'!D13=0,0,'2026-2027гг'!#REF!)</f>
        <v>#REF!</v>
      </c>
    </row>
    <row r="18" spans="1:4" ht="45" customHeight="1" x14ac:dyDescent="0.3">
      <c r="A18" s="8" t="s">
        <v>5</v>
      </c>
      <c r="B18" s="12" t="s">
        <v>14</v>
      </c>
      <c r="C18" s="20">
        <f>'2026-2027гг'!G14</f>
        <v>-154692239.34999999</v>
      </c>
      <c r="D18" s="20" t="e">
        <f>IF('2026-2027гг'!D14=0,0,'2026-2027гг'!#REF!)</f>
        <v>#REF!</v>
      </c>
    </row>
    <row r="19" spans="1:4" ht="45" customHeight="1" x14ac:dyDescent="0.3">
      <c r="A19" s="7" t="s">
        <v>9</v>
      </c>
      <c r="B19" s="13" t="s">
        <v>10</v>
      </c>
      <c r="C19" s="20">
        <f>'2026-2027гг'!G15</f>
        <v>-27237261.329999998</v>
      </c>
      <c r="D19" s="20" t="e">
        <f>IF('2026-2027гг'!D15=0,0,'2026-2027гг'!#REF!)</f>
        <v>#REF!</v>
      </c>
    </row>
    <row r="20" spans="1:4" ht="54" customHeight="1" x14ac:dyDescent="0.3">
      <c r="A20" s="14" t="s">
        <v>17</v>
      </c>
      <c r="B20" s="15" t="s">
        <v>19</v>
      </c>
      <c r="C20" s="20">
        <f>'2026-2027гг'!G16</f>
        <v>0</v>
      </c>
      <c r="D20" s="20">
        <f>IF('2026-2027гг'!D16=0,0,'2026-2027гг'!#REF!)</f>
        <v>0</v>
      </c>
    </row>
    <row r="21" spans="1:4" ht="56.25" customHeight="1" x14ac:dyDescent="0.3">
      <c r="A21" s="8" t="s">
        <v>6</v>
      </c>
      <c r="B21" s="12" t="s">
        <v>20</v>
      </c>
      <c r="C21" s="20">
        <f>'2026-2027гг'!G17</f>
        <v>-27237261.329999998</v>
      </c>
      <c r="D21" s="20" t="e">
        <f>IF('2026-2027гг'!D17=0,0,'2026-2027гг'!#REF!)</f>
        <v>#REF!</v>
      </c>
    </row>
    <row r="22" spans="1:4" s="9" customFormat="1" ht="43.5" customHeight="1" x14ac:dyDescent="0.3">
      <c r="A22" s="7" t="s">
        <v>11</v>
      </c>
      <c r="B22" s="13" t="s">
        <v>12</v>
      </c>
      <c r="C22" s="20" t="e">
        <f>IF('2026-2027гг'!C18=0,0,'2026-2027гг'!#REF!)</f>
        <v>#REF!</v>
      </c>
      <c r="D22" s="20" t="e">
        <f>IF('2026-2027гг'!D18=0,0,'2026-2027гг'!#REF!)</f>
        <v>#REF!</v>
      </c>
    </row>
    <row r="23" spans="1:4" s="9" customFormat="1" ht="42.75" customHeight="1" x14ac:dyDescent="0.3">
      <c r="A23" s="14" t="s">
        <v>16</v>
      </c>
      <c r="B23" s="15" t="s">
        <v>21</v>
      </c>
      <c r="C23" s="20" t="e">
        <f>IF('2026-2027гг'!C19=0,0,'2026-2027гг'!#REF!)</f>
        <v>#REF!</v>
      </c>
      <c r="D23" s="20" t="e">
        <f>IF('2026-2027гг'!D19=0,0,'2026-2027гг'!#REF!)</f>
        <v>#REF!</v>
      </c>
    </row>
    <row r="24" spans="1:4" s="9" customFormat="1" ht="40.5" customHeight="1" x14ac:dyDescent="0.3">
      <c r="A24" s="14" t="s">
        <v>13</v>
      </c>
      <c r="B24" s="15" t="s">
        <v>15</v>
      </c>
      <c r="C24" s="20" t="e">
        <f>IF('2026-2027гг'!C20=0,0,'2026-2027гг'!#REF!)</f>
        <v>#REF!</v>
      </c>
      <c r="D24" s="20" t="e">
        <f>IF('2026-2027гг'!D20=0,0,'2026-2027гг'!#REF!)</f>
        <v>#REF!</v>
      </c>
    </row>
    <row r="25" spans="1:4" ht="19.5" customHeight="1" x14ac:dyDescent="0.3">
      <c r="A25" s="8"/>
      <c r="B25" s="10" t="s">
        <v>1</v>
      </c>
      <c r="C25" s="20" t="e">
        <f>IF('2026-2027гг'!C21=0,0,'2026-2027гг'!#REF!)</f>
        <v>#REF!</v>
      </c>
      <c r="D25" s="20" t="e">
        <f>IF('2026-2027гг'!D21=0,0,'2026-2027гг'!#REF!)</f>
        <v>#REF!</v>
      </c>
    </row>
    <row r="28" spans="1:4" ht="20.25" x14ac:dyDescent="0.3">
      <c r="A28" s="23"/>
      <c r="B28" s="24"/>
      <c r="C28" s="24"/>
    </row>
    <row r="29" spans="1:4" ht="20.25" x14ac:dyDescent="0.3">
      <c r="A29" s="23"/>
      <c r="B29" s="24"/>
      <c r="C29" s="24"/>
    </row>
    <row r="32" spans="1:4" ht="33" x14ac:dyDescent="0.45">
      <c r="A32" s="6"/>
    </row>
    <row r="33" spans="1:1" ht="33" x14ac:dyDescent="0.45">
      <c r="A33" s="6"/>
    </row>
    <row r="34" spans="1:1" ht="33" x14ac:dyDescent="0.45">
      <c r="A34" s="6"/>
    </row>
  </sheetData>
  <mergeCells count="10">
    <mergeCell ref="A10:C11"/>
    <mergeCell ref="A14:A15"/>
    <mergeCell ref="B14:B15"/>
    <mergeCell ref="C14:D14"/>
    <mergeCell ref="B1:D1"/>
    <mergeCell ref="B2:D2"/>
    <mergeCell ref="B3:D3"/>
    <mergeCell ref="B5:D5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2025</vt:lpstr>
      <vt:lpstr>2026-2027гг</vt:lpstr>
      <vt:lpstr>для решения 25-27</vt:lpstr>
      <vt:lpstr>для решения 19-20гг</vt:lpstr>
      <vt:lpstr>'для решения 25-27'!Область_печати</vt:lpstr>
    </vt:vector>
  </TitlesOfParts>
  <Company>Министерство финансов УР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Круткина</dc:creator>
  <cp:lastModifiedBy>Druzhinina</cp:lastModifiedBy>
  <cp:lastPrinted>2025-06-09T05:02:43Z</cp:lastPrinted>
  <dcterms:created xsi:type="dcterms:W3CDTF">2001-01-31T09:42:12Z</dcterms:created>
  <dcterms:modified xsi:type="dcterms:W3CDTF">2025-10-31T05:22:21Z</dcterms:modified>
</cp:coreProperties>
</file>